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613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beaucag/Avaratec Desktop/public_html/Classes/ChEThermoBeaucage/Quizzes 2021 Chemical Engineering Thermodynamics/Quiz 11 ChE Thermo 2021/"/>
    </mc:Choice>
  </mc:AlternateContent>
  <xr:revisionPtr revIDLastSave="0" documentId="10_ncr:8100000_{7BC65C93-F4DE-E340-9F46-BEF03AD755A4}" xr6:coauthVersionLast="34" xr6:coauthVersionMax="34" xr10:uidLastSave="{00000000-0000-0000-0000-000000000000}"/>
  <bookViews>
    <workbookView xWindow="22500" yWindow="540" windowWidth="15840" windowHeight="20660" tabRatio="500" activeTab="3" xr2:uid="{00000000-000D-0000-FFFF-FFFF00000000}"/>
  </bookViews>
  <sheets>
    <sheet name="Part a" sheetId="2" r:id="rId1"/>
    <sheet name="Part c" sheetId="1" r:id="rId2"/>
    <sheet name="Parts d and e" sheetId="3" r:id="rId3"/>
    <sheet name="Answer Sheet" sheetId="4" r:id="rId4"/>
    <sheet name="Empty Answer Sheet" sheetId="5" r:id="rId5"/>
  </sheets>
  <definedNames>
    <definedName name="solver_adj" localSheetId="0" hidden="1">'Part a'!$F$18</definedName>
    <definedName name="solver_adj" localSheetId="1" hidden="1">'Part c'!$F$19</definedName>
    <definedName name="solver_adj" localSheetId="2" hidden="1">'Parts d and e'!$F$18</definedName>
    <definedName name="solver_cvg" localSheetId="0" hidden="1">0.0001</definedName>
    <definedName name="solver_cvg" localSheetId="1" hidden="1">0.0001</definedName>
    <definedName name="solver_cvg" localSheetId="2" hidden="1">0.0001</definedName>
    <definedName name="solver_drv" localSheetId="0" hidden="1">1</definedName>
    <definedName name="solver_drv" localSheetId="1" hidden="1">1</definedName>
    <definedName name="solver_drv" localSheetId="2" hidden="1">1</definedName>
    <definedName name="solver_eng" localSheetId="0" hidden="1">1</definedName>
    <definedName name="solver_eng" localSheetId="1" hidden="1">1</definedName>
    <definedName name="solver_eng" localSheetId="2" hidden="1">1</definedName>
    <definedName name="solver_itr" localSheetId="0" hidden="1">2147483647</definedName>
    <definedName name="solver_itr" localSheetId="1" hidden="1">2147483647</definedName>
    <definedName name="solver_itr" localSheetId="2" hidden="1">2147483647</definedName>
    <definedName name="solver_lin" localSheetId="0" hidden="1">2</definedName>
    <definedName name="solver_lin" localSheetId="1" hidden="1">2</definedName>
    <definedName name="solver_lin" localSheetId="2" hidden="1">2</definedName>
    <definedName name="solver_mip" localSheetId="0" hidden="1">2147483647</definedName>
    <definedName name="solver_mip" localSheetId="1" hidden="1">2147483647</definedName>
    <definedName name="solver_mip" localSheetId="2" hidden="1">2147483647</definedName>
    <definedName name="solver_mni" localSheetId="0" hidden="1">30</definedName>
    <definedName name="solver_mni" localSheetId="1" hidden="1">30</definedName>
    <definedName name="solver_mni" localSheetId="2" hidden="1">30</definedName>
    <definedName name="solver_mrt" localSheetId="0" hidden="1">0.075</definedName>
    <definedName name="solver_mrt" localSheetId="1" hidden="1">0.075</definedName>
    <definedName name="solver_mrt" localSheetId="2" hidden="1">0.075</definedName>
    <definedName name="solver_msl" localSheetId="0" hidden="1">2</definedName>
    <definedName name="solver_msl" localSheetId="1" hidden="1">2</definedName>
    <definedName name="solver_msl" localSheetId="2" hidden="1">2</definedName>
    <definedName name="solver_neg" localSheetId="0" hidden="1">1</definedName>
    <definedName name="solver_neg" localSheetId="1" hidden="1">1</definedName>
    <definedName name="solver_neg" localSheetId="2" hidden="1">1</definedName>
    <definedName name="solver_nod" localSheetId="0" hidden="1">2147483647</definedName>
    <definedName name="solver_nod" localSheetId="1" hidden="1">2147483647</definedName>
    <definedName name="solver_nod" localSheetId="2" hidden="1">2147483647</definedName>
    <definedName name="solver_num" localSheetId="0" hidden="1">0</definedName>
    <definedName name="solver_num" localSheetId="1" hidden="1">0</definedName>
    <definedName name="solver_num" localSheetId="2" hidden="1">0</definedName>
    <definedName name="solver_opt" localSheetId="0" hidden="1">'Part a'!$F$11</definedName>
    <definedName name="solver_opt" localSheetId="1" hidden="1">'Part c'!$F$11</definedName>
    <definedName name="solver_opt" localSheetId="2" hidden="1">'Parts d and e'!$F$11</definedName>
    <definedName name="solver_pre" localSheetId="0" hidden="1">0.000001</definedName>
    <definedName name="solver_pre" localSheetId="1" hidden="1">0.000001</definedName>
    <definedName name="solver_pre" localSheetId="2" hidden="1">0.000001</definedName>
    <definedName name="solver_rbv" localSheetId="0" hidden="1">1</definedName>
    <definedName name="solver_rbv" localSheetId="1" hidden="1">1</definedName>
    <definedName name="solver_rbv" localSheetId="2" hidden="1">1</definedName>
    <definedName name="solver_rlx" localSheetId="0" hidden="1">2</definedName>
    <definedName name="solver_rlx" localSheetId="1" hidden="1">2</definedName>
    <definedName name="solver_rlx" localSheetId="2" hidden="1">2</definedName>
    <definedName name="solver_rsd" localSheetId="0" hidden="1">0</definedName>
    <definedName name="solver_rsd" localSheetId="1" hidden="1">0</definedName>
    <definedName name="solver_rsd" localSheetId="2" hidden="1">0</definedName>
    <definedName name="solver_scl" localSheetId="0" hidden="1">1</definedName>
    <definedName name="solver_scl" localSheetId="1" hidden="1">1</definedName>
    <definedName name="solver_scl" localSheetId="2" hidden="1">1</definedName>
    <definedName name="solver_sho" localSheetId="0" hidden="1">2</definedName>
    <definedName name="solver_sho" localSheetId="1" hidden="1">2</definedName>
    <definedName name="solver_sho" localSheetId="2" hidden="1">2</definedName>
    <definedName name="solver_ssz" localSheetId="0" hidden="1">100</definedName>
    <definedName name="solver_ssz" localSheetId="1" hidden="1">100</definedName>
    <definedName name="solver_ssz" localSheetId="2" hidden="1">100</definedName>
    <definedName name="solver_tim" localSheetId="0" hidden="1">2147483647</definedName>
    <definedName name="solver_tim" localSheetId="1" hidden="1">2147483647</definedName>
    <definedName name="solver_tim" localSheetId="2" hidden="1">2147483647</definedName>
    <definedName name="solver_tol" localSheetId="0" hidden="1">0.01</definedName>
    <definedName name="solver_tol" localSheetId="1" hidden="1">0.01</definedName>
    <definedName name="solver_tol" localSheetId="2" hidden="1">0.01</definedName>
    <definedName name="solver_typ" localSheetId="0" hidden="1">3</definedName>
    <definedName name="solver_typ" localSheetId="1" hidden="1">3</definedName>
    <definedName name="solver_typ" localSheetId="2" hidden="1">3</definedName>
    <definedName name="solver_val" localSheetId="0" hidden="1">1</definedName>
    <definedName name="solver_val" localSheetId="1" hidden="1">1</definedName>
    <definedName name="solver_val" localSheetId="2" hidden="1">0</definedName>
    <definedName name="solver_ver" localSheetId="0" hidden="1">2</definedName>
    <definedName name="solver_ver" localSheetId="1" hidden="1">2</definedName>
    <definedName name="solver_ver" localSheetId="2" hidden="1">2</definedName>
  </definedNames>
  <calcPr calcId="162913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70" i="3" l="1"/>
  <c r="I69" i="3"/>
  <c r="H69" i="3"/>
  <c r="G69" i="3"/>
  <c r="G59" i="3"/>
  <c r="G61" i="3"/>
  <c r="G60" i="3"/>
  <c r="D11" i="2" l="1"/>
  <c r="F12" i="3"/>
  <c r="H5" i="3" s="1"/>
  <c r="F13" i="3"/>
  <c r="H6" i="3" s="1"/>
  <c r="I6" i="3" s="1"/>
  <c r="F14" i="3"/>
  <c r="H7" i="3" s="1"/>
  <c r="I7" i="3" s="1"/>
  <c r="F15" i="3"/>
  <c r="F16" i="3"/>
  <c r="H9" i="3" s="1"/>
  <c r="I9" i="3" s="1"/>
  <c r="F17" i="3"/>
  <c r="H10" i="3" s="1"/>
  <c r="I10" i="3" s="1"/>
  <c r="H8" i="3"/>
  <c r="I8" i="3" s="1"/>
  <c r="I6" i="1"/>
  <c r="I7" i="1"/>
  <c r="I8" i="1"/>
  <c r="I9" i="1"/>
  <c r="I10" i="1"/>
  <c r="I5" i="1"/>
  <c r="J6" i="3"/>
  <c r="J7" i="3"/>
  <c r="J8" i="3"/>
  <c r="J9" i="3"/>
  <c r="J10" i="3"/>
  <c r="J5" i="3"/>
  <c r="F12" i="1"/>
  <c r="H5" i="1" s="1"/>
  <c r="F13" i="1"/>
  <c r="H6" i="1" s="1"/>
  <c r="F14" i="1"/>
  <c r="H7" i="1" s="1"/>
  <c r="F15" i="1"/>
  <c r="H8" i="1" s="1"/>
  <c r="F16" i="1"/>
  <c r="H9" i="1" s="1"/>
  <c r="F17" i="1"/>
  <c r="H10" i="1" s="1"/>
  <c r="F12" i="2"/>
  <c r="F13" i="2"/>
  <c r="F16" i="2"/>
  <c r="F17" i="2"/>
  <c r="F14" i="2"/>
  <c r="F15" i="2"/>
  <c r="H6" i="2"/>
  <c r="H7" i="2"/>
  <c r="H8" i="2"/>
  <c r="H9" i="2"/>
  <c r="H10" i="2"/>
  <c r="H5" i="2"/>
  <c r="F21" i="3"/>
  <c r="J18" i="3"/>
  <c r="J18" i="2"/>
  <c r="J18" i="1"/>
  <c r="F11" i="1" l="1"/>
  <c r="F11" i="2"/>
  <c r="H11" i="3"/>
  <c r="I5" i="3"/>
  <c r="I11" i="3" s="1"/>
  <c r="F11" i="3"/>
</calcChain>
</file>

<file path=xl/sharedStrings.xml><?xml version="1.0" encoding="utf-8"?>
<sst xmlns="http://schemas.openxmlformats.org/spreadsheetml/2006/main" count="213" uniqueCount="87">
  <si>
    <t>w</t>
  </si>
  <si>
    <t>Pc, Mpa</t>
  </si>
  <si>
    <t>Tc, °K</t>
  </si>
  <si>
    <t>sum xK</t>
  </si>
  <si>
    <t>Temp °K</t>
  </si>
  <si>
    <t>P Mpa</t>
  </si>
  <si>
    <t>Solve for sum xK = 1 by varying TK</t>
  </si>
  <si>
    <t>T, °C</t>
  </si>
  <si>
    <t>sum y/K</t>
  </si>
  <si>
    <t>xi</t>
  </si>
  <si>
    <t>V/F</t>
  </si>
  <si>
    <t>sum D</t>
  </si>
  <si>
    <t>Solve for sum D = 0 by varying V/F</t>
  </si>
  <si>
    <t>yi</t>
  </si>
  <si>
    <t>L/F</t>
  </si>
  <si>
    <t>Solve for sum y/K = 1 by varying TK</t>
  </si>
  <si>
    <t>Tr&gt;0.5</t>
  </si>
  <si>
    <t>P&gt;0.05MPa</t>
  </si>
  <si>
    <t>Bubble Point Calculation</t>
  </si>
  <si>
    <t>Dew Point Calculation</t>
  </si>
  <si>
    <t>Flash Given T and P</t>
  </si>
  <si>
    <t>zi</t>
  </si>
  <si>
    <t>METHANE</t>
  </si>
  <si>
    <t>ETHANE</t>
  </si>
  <si>
    <t>PROPANE</t>
  </si>
  <si>
    <t>n-BUTANE</t>
  </si>
  <si>
    <t>ISOBUTANE</t>
  </si>
  <si>
    <t>n-PENTANE</t>
  </si>
  <si>
    <t>K1</t>
  </si>
  <si>
    <t>K2</t>
  </si>
  <si>
    <t>K3</t>
  </si>
  <si>
    <t>nK4</t>
  </si>
  <si>
    <t>iK4</t>
  </si>
  <si>
    <t>nK5</t>
  </si>
  <si>
    <t>K</t>
  </si>
  <si>
    <t>a)</t>
  </si>
  <si>
    <t>Pb @ 298K</t>
  </si>
  <si>
    <t>Mpa</t>
  </si>
  <si>
    <t>b)</t>
  </si>
  <si>
    <t>PREOS</t>
  </si>
  <si>
    <t>Tb @ 0.8 MPa</t>
  </si>
  <si>
    <t>c)</t>
  </si>
  <si>
    <t>Tdp @ 0.8 Mpa</t>
  </si>
  <si>
    <t>Pdp @ 298</t>
  </si>
  <si>
    <t>d)</t>
  </si>
  <si>
    <t>T Flash at V/F = 0.5</t>
  </si>
  <si>
    <t>It is between the DP and BP</t>
  </si>
  <si>
    <t>e)</t>
  </si>
  <si>
    <t>Heat Capacity Constants</t>
  </si>
  <si>
    <t>TK Cp in J/mol-K</t>
  </si>
  <si>
    <t>i.g.</t>
  </si>
  <si>
    <t>A</t>
  </si>
  <si>
    <t>B</t>
  </si>
  <si>
    <t>C</t>
  </si>
  <si>
    <t>D</t>
  </si>
  <si>
    <t>Liquid</t>
  </si>
  <si>
    <t>Heat of Vaporization at 760 mmHg</t>
  </si>
  <si>
    <t>Tb, °C</t>
  </si>
  <si>
    <t>DHvap kJ/mole</t>
  </si>
  <si>
    <t>Tb at 50°C</t>
  </si>
  <si>
    <t>Tb, K</t>
  </si>
  <si>
    <t>Q Calculation</t>
  </si>
  <si>
    <t>Q = HL+HV-Hfeed</t>
  </si>
  <si>
    <t>Hfeed=0 L at 50°C and 0.2 Mpa (1520 mmHg)</t>
  </si>
  <si>
    <t>Assume the feed stream is H = 0</t>
  </si>
  <si>
    <t>It is  a vapor at equilibrium with the liquid so 325K and 0.8 Mpa</t>
  </si>
  <si>
    <t>This is 0.750 fraction is converted to a liquid at 320K and 0.8MPa</t>
  </si>
  <si>
    <t>HF  = 0</t>
  </si>
  <si>
    <t>Q'/F</t>
  </si>
  <si>
    <t>integral Cp is A(T2-T1)+ B/2 (T2^2-T1^2) + C/3 (T2^3-T1^3) + D/4 (T2^4-T1^4)</t>
  </si>
  <si>
    <t>kJ/mole</t>
  </si>
  <si>
    <t>HL, kJ/mole</t>
  </si>
  <si>
    <t>HV, kJ/mole</t>
  </si>
  <si>
    <t>HL = intDCpV(150-298)</t>
  </si>
  <si>
    <t>HV = intDCpL(Tb-298) +DHv + intDCpV (150-Tb)</t>
  </si>
  <si>
    <t>J/mole</t>
  </si>
  <si>
    <t>Alternatively use PREOS for H, set reference state as vapor at 325K and 0.8 Mpa Real Fluid H = 0 assume DHmix = 0</t>
  </si>
  <si>
    <t>FROM PREOS</t>
  </si>
  <si>
    <t>H Stream</t>
  </si>
  <si>
    <t>Q' kJ/mole</t>
  </si>
  <si>
    <t>H Vapor 150K 0.8 Mpa, J/mole</t>
  </si>
  <si>
    <t>H Liquid 150K 0.8 Mpa, J/mole</t>
  </si>
  <si>
    <t>H Feed Liquid 298 K 0.8 Mpa, J/mole</t>
  </si>
  <si>
    <t>Q</t>
  </si>
  <si>
    <t>Q from PREOS.xls</t>
  </si>
  <si>
    <t>kJ/mole Feed</t>
  </si>
  <si>
    <t>Compare: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</si>
</sst>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"/>
    <numFmt numFmtId="165" formatCode="0.0000"/>
    <numFmt numFmtId="166" formatCode="0.000000"/>
    <numFmt numFmtId="167" formatCode="0.000"/>
    <numFmt numFmtId="168" formatCode="0.00000"/>
  </numFmts>
  <fonts count="9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name val="Times New Roman"/>
      <family val="1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0"/>
      <name val="Times New Roman"/>
      <family val="1"/>
    </font>
    <font>
      <sz val="12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3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55">
    <xf numFmtId="0" fontId="0" fillId="0" borderId="0" xfId="0"/>
    <xf numFmtId="0" fontId="0" fillId="2" borderId="0" xfId="0" applyFill="1"/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4" borderId="0" xfId="0" applyNumberFormat="1" applyFill="1" applyAlignment="1">
      <alignment horizontal="center" vertical="center"/>
    </xf>
    <xf numFmtId="2" fontId="0" fillId="3" borderId="0" xfId="0" applyNumberFormat="1" applyFill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0" fillId="3" borderId="0" xfId="0" applyNumberFormat="1" applyFill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2" fontId="0" fillId="3" borderId="0" xfId="0" applyNumberFormat="1" applyFill="1" applyAlignment="1">
      <alignment horizontal="center"/>
    </xf>
    <xf numFmtId="2" fontId="0" fillId="0" borderId="0" xfId="0" applyNumberFormat="1" applyAlignment="1">
      <alignment horizontal="center"/>
    </xf>
    <xf numFmtId="167" fontId="0" fillId="0" borderId="0" xfId="0" applyNumberFormat="1" applyAlignment="1">
      <alignment horizontal="center" vertical="center"/>
    </xf>
    <xf numFmtId="1" fontId="0" fillId="3" borderId="0" xfId="0" applyNumberFormat="1" applyFill="1" applyAlignment="1">
      <alignment horizontal="center"/>
    </xf>
    <xf numFmtId="164" fontId="0" fillId="0" borderId="0" xfId="0" applyNumberFormat="1" applyAlignment="1">
      <alignment horizontal="center"/>
    </xf>
    <xf numFmtId="0" fontId="4" fillId="0" borderId="0" xfId="0" applyFon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68" fontId="0" fillId="0" borderId="0" xfId="0" applyNumberFormat="1" applyAlignment="1">
      <alignment horizontal="center" vertical="center"/>
    </xf>
    <xf numFmtId="0" fontId="0" fillId="5" borderId="1" xfId="0" applyFill="1" applyBorder="1"/>
    <xf numFmtId="0" fontId="5" fillId="5" borderId="1" xfId="0" applyFont="1" applyFill="1" applyBorder="1" applyAlignment="1">
      <alignment horizontal="center"/>
    </xf>
    <xf numFmtId="0" fontId="0" fillId="0" borderId="1" xfId="0" applyFill="1" applyBorder="1"/>
    <xf numFmtId="0" fontId="0" fillId="3" borderId="2" xfId="0" applyFill="1" applyBorder="1"/>
    <xf numFmtId="1" fontId="0" fillId="3" borderId="1" xfId="0" applyNumberFormat="1" applyFill="1" applyBorder="1" applyAlignment="1">
      <alignment horizontal="center"/>
    </xf>
    <xf numFmtId="2" fontId="0" fillId="3" borderId="1" xfId="0" applyNumberFormat="1" applyFill="1" applyBorder="1" applyAlignment="1">
      <alignment horizontal="center"/>
    </xf>
    <xf numFmtId="0" fontId="0" fillId="6" borderId="1" xfId="0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6" borderId="1" xfId="0" applyFill="1" applyBorder="1" applyAlignment="1">
      <alignment horizontal="center" vertical="center"/>
    </xf>
    <xf numFmtId="1" fontId="0" fillId="6" borderId="1" xfId="0" applyNumberFormat="1" applyFill="1" applyBorder="1" applyAlignment="1">
      <alignment horizontal="center" vertical="center"/>
    </xf>
    <xf numFmtId="0" fontId="0" fillId="6" borderId="1" xfId="0" applyFill="1" applyBorder="1" applyAlignment="1">
      <alignment horizontal="center"/>
    </xf>
    <xf numFmtId="0" fontId="0" fillId="6" borderId="0" xfId="0" applyFill="1"/>
    <xf numFmtId="2" fontId="0" fillId="6" borderId="1" xfId="0" applyNumberFormat="1" applyFill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2" fontId="6" fillId="3" borderId="1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166" fontId="6" fillId="3" borderId="1" xfId="0" applyNumberFormat="1" applyFont="1" applyFill="1" applyBorder="1" applyAlignment="1">
      <alignment horizontal="center" vertical="center"/>
    </xf>
    <xf numFmtId="164" fontId="6" fillId="3" borderId="1" xfId="0" applyNumberFormat="1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1" fontId="7" fillId="5" borderId="1" xfId="0" applyNumberFormat="1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 wrapText="1"/>
    </xf>
    <xf numFmtId="11" fontId="8" fillId="0" borderId="1" xfId="0" applyNumberFormat="1" applyFont="1" applyBorder="1" applyAlignment="1">
      <alignment horizontal="center" vertical="center"/>
    </xf>
  </cellXfs>
  <cellStyles count="23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2.png"/><Relationship Id="rId1" Type="http://schemas.openxmlformats.org/officeDocument/2006/relationships/image" Target="../media/image4.png"/><Relationship Id="rId4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21</xdr:row>
      <xdr:rowOff>0</xdr:rowOff>
    </xdr:from>
    <xdr:to>
      <xdr:col>7</xdr:col>
      <xdr:colOff>101600</xdr:colOff>
      <xdr:row>23</xdr:row>
      <xdr:rowOff>114300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27500" y="3238500"/>
          <a:ext cx="1752600" cy="495300"/>
        </a:xfrm>
        <a:prstGeom prst="rect">
          <a:avLst/>
        </a:prstGeom>
      </xdr:spPr>
    </xdr:pic>
    <xdr:clientData/>
  </xdr:twoCellAnchor>
  <xdr:twoCellAnchor editAs="oneCell">
    <xdr:from>
      <xdr:col>8</xdr:col>
      <xdr:colOff>114300</xdr:colOff>
      <xdr:row>6</xdr:row>
      <xdr:rowOff>50800</xdr:rowOff>
    </xdr:from>
    <xdr:to>
      <xdr:col>11</xdr:col>
      <xdr:colOff>736600</xdr:colOff>
      <xdr:row>10</xdr:row>
      <xdr:rowOff>82771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718300" y="1193800"/>
          <a:ext cx="3098800" cy="79397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21</xdr:row>
      <xdr:rowOff>0</xdr:rowOff>
    </xdr:from>
    <xdr:to>
      <xdr:col>8</xdr:col>
      <xdr:colOff>406400</xdr:colOff>
      <xdr:row>23</xdr:row>
      <xdr:rowOff>127000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53000" y="3238500"/>
          <a:ext cx="2057400" cy="508000"/>
        </a:xfrm>
        <a:prstGeom prst="rect">
          <a:avLst/>
        </a:prstGeom>
      </xdr:spPr>
    </xdr:pic>
    <xdr:clientData/>
  </xdr:twoCellAnchor>
  <xdr:twoCellAnchor editAs="oneCell">
    <xdr:from>
      <xdr:col>9</xdr:col>
      <xdr:colOff>254000</xdr:colOff>
      <xdr:row>5</xdr:row>
      <xdr:rowOff>139700</xdr:rowOff>
    </xdr:from>
    <xdr:to>
      <xdr:col>13</xdr:col>
      <xdr:colOff>50800</xdr:colOff>
      <xdr:row>9</xdr:row>
      <xdr:rowOff>171671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83500" y="1092200"/>
          <a:ext cx="3098800" cy="79397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22</xdr:row>
      <xdr:rowOff>0</xdr:rowOff>
    </xdr:from>
    <xdr:to>
      <xdr:col>10</xdr:col>
      <xdr:colOff>533401</xdr:colOff>
      <xdr:row>25</xdr:row>
      <xdr:rowOff>38100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04000" y="3429000"/>
          <a:ext cx="2184400" cy="60960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8</xdr:row>
      <xdr:rowOff>0</xdr:rowOff>
    </xdr:from>
    <xdr:to>
      <xdr:col>13</xdr:col>
      <xdr:colOff>622299</xdr:colOff>
      <xdr:row>12</xdr:row>
      <xdr:rowOff>31971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255000" y="1143000"/>
          <a:ext cx="3098800" cy="793971"/>
        </a:xfrm>
        <a:prstGeom prst="rect">
          <a:avLst/>
        </a:prstGeom>
      </xdr:spPr>
    </xdr:pic>
    <xdr:clientData/>
  </xdr:twoCellAnchor>
  <xdr:twoCellAnchor editAs="oneCell">
    <xdr:from>
      <xdr:col>9</xdr:col>
      <xdr:colOff>527977</xdr:colOff>
      <xdr:row>32</xdr:row>
      <xdr:rowOff>57078</xdr:rowOff>
    </xdr:from>
    <xdr:to>
      <xdr:col>12</xdr:col>
      <xdr:colOff>656404</xdr:colOff>
      <xdr:row>40</xdr:row>
      <xdr:rowOff>160347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95E3434-7D34-3247-B60D-0FAB4207EC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208177" y="5137078"/>
          <a:ext cx="2604927" cy="1728869"/>
        </a:xfrm>
        <a:prstGeom prst="rect">
          <a:avLst/>
        </a:prstGeom>
      </xdr:spPr>
    </xdr:pic>
    <xdr:clientData/>
  </xdr:twoCellAnchor>
  <xdr:twoCellAnchor editAs="oneCell">
    <xdr:from>
      <xdr:col>4</xdr:col>
      <xdr:colOff>527978</xdr:colOff>
      <xdr:row>45</xdr:row>
      <xdr:rowOff>57078</xdr:rowOff>
    </xdr:from>
    <xdr:to>
      <xdr:col>12</xdr:col>
      <xdr:colOff>691871</xdr:colOff>
      <xdr:row>49</xdr:row>
      <xdr:rowOff>45745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2232AF29-851F-A648-A997-2202A4B401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004478" y="7778678"/>
          <a:ext cx="6767893" cy="8014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2:J19"/>
  <sheetViews>
    <sheetView workbookViewId="0">
      <selection activeCell="K24" sqref="K24"/>
    </sheetView>
  </sheetViews>
  <sheetFormatPr baseColWidth="10" defaultRowHeight="16"/>
  <sheetData>
    <row r="2" spans="3:10">
      <c r="D2" t="s">
        <v>18</v>
      </c>
    </row>
    <row r="4" spans="3:10">
      <c r="C4" s="4"/>
      <c r="D4" s="4" t="s">
        <v>21</v>
      </c>
      <c r="E4" s="4" t="s">
        <v>2</v>
      </c>
      <c r="F4" s="4" t="s">
        <v>1</v>
      </c>
      <c r="G4" s="4" t="s">
        <v>0</v>
      </c>
      <c r="H4" s="5" t="s">
        <v>16</v>
      </c>
    </row>
    <row r="5" spans="3:10">
      <c r="C5" s="4" t="s">
        <v>22</v>
      </c>
      <c r="D5" s="3">
        <v>0.88</v>
      </c>
      <c r="E5" s="4">
        <v>190.6</v>
      </c>
      <c r="F5" s="4">
        <v>4.6040000000000001</v>
      </c>
      <c r="G5" s="4">
        <v>1.0999999999999999E-2</v>
      </c>
      <c r="H5" s="6">
        <f>$F$18/E5</f>
        <v>0.76993764694674161</v>
      </c>
    </row>
    <row r="6" spans="3:10">
      <c r="C6" s="4" t="s">
        <v>23</v>
      </c>
      <c r="D6" s="4">
        <v>7.5800000000000006E-2</v>
      </c>
      <c r="E6" s="4">
        <v>305.39999999999998</v>
      </c>
      <c r="F6" s="4">
        <v>4.88</v>
      </c>
      <c r="G6" s="4">
        <v>9.9000000000000005E-2</v>
      </c>
      <c r="H6" s="6">
        <f t="shared" ref="H6:H10" si="0">$F$18/E6</f>
        <v>0.48051773250834623</v>
      </c>
    </row>
    <row r="7" spans="3:10">
      <c r="C7" s="4" t="s">
        <v>24</v>
      </c>
      <c r="D7" s="3">
        <v>4.4200000000000003E-2</v>
      </c>
      <c r="E7" s="4">
        <v>369.8</v>
      </c>
      <c r="F7" s="4">
        <v>4.2489999999999997</v>
      </c>
      <c r="G7" s="4">
        <v>0.152</v>
      </c>
      <c r="H7" s="6">
        <f t="shared" si="0"/>
        <v>0.39683643998931567</v>
      </c>
    </row>
    <row r="8" spans="3:10">
      <c r="C8" s="4" t="s">
        <v>25</v>
      </c>
      <c r="D8" s="3">
        <v>0</v>
      </c>
      <c r="E8" s="4">
        <v>425.2</v>
      </c>
      <c r="F8" s="4">
        <v>3.7970000000000002</v>
      </c>
      <c r="G8" s="4">
        <v>0.193</v>
      </c>
      <c r="H8" s="6">
        <f t="shared" si="0"/>
        <v>0.3451319743839345</v>
      </c>
    </row>
    <row r="9" spans="3:10">
      <c r="C9" s="4" t="s">
        <v>26</v>
      </c>
      <c r="D9" s="3">
        <v>0</v>
      </c>
      <c r="E9" s="4">
        <v>408.1</v>
      </c>
      <c r="F9" s="4">
        <v>3.6480000000000001</v>
      </c>
      <c r="G9" s="4">
        <v>0.17699999999999999</v>
      </c>
      <c r="H9" s="6">
        <f t="shared" si="0"/>
        <v>0.35959351999031836</v>
      </c>
    </row>
    <row r="10" spans="3:10">
      <c r="C10" s="4" t="s">
        <v>27</v>
      </c>
      <c r="D10" s="3">
        <v>0</v>
      </c>
      <c r="E10" s="4">
        <v>469.7</v>
      </c>
      <c r="F10" s="4">
        <v>3.3690000000000002</v>
      </c>
      <c r="G10" s="4">
        <v>0.249</v>
      </c>
      <c r="H10" s="6">
        <f t="shared" si="0"/>
        <v>0.3124337140899488</v>
      </c>
    </row>
    <row r="11" spans="3:10">
      <c r="C11" s="4"/>
      <c r="D11" s="4">
        <f>SUM(D5:D10)</f>
        <v>1</v>
      </c>
      <c r="E11" s="4" t="s">
        <v>3</v>
      </c>
      <c r="F11" s="7">
        <f>D5*F12+D6*F13+D7*F14+D8*F15+D9*F16+D10*F17</f>
        <v>0.99997994723412176</v>
      </c>
    </row>
    <row r="12" spans="3:10">
      <c r="C12" s="4"/>
      <c r="D12" s="4" t="s">
        <v>22</v>
      </c>
      <c r="E12" s="4" t="s">
        <v>28</v>
      </c>
      <c r="F12" s="8">
        <f>(F5*10^((7/3)*(1+G5)*(1-E5/$F$18)))/$F$19</f>
        <v>1.135431287020539</v>
      </c>
    </row>
    <row r="13" spans="3:10">
      <c r="C13" s="4"/>
      <c r="D13" s="4" t="s">
        <v>23</v>
      </c>
      <c r="E13" s="4" t="s">
        <v>29</v>
      </c>
      <c r="F13" s="11">
        <f t="shared" ref="F13:F17" si="1">(F6*10^((7/3)*(1+G6)*(1-E6/$F$18)))/$F$19</f>
        <v>1.030524139851368E-2</v>
      </c>
    </row>
    <row r="14" spans="3:10">
      <c r="C14" s="4"/>
      <c r="D14" s="4" t="s">
        <v>24</v>
      </c>
      <c r="E14" s="4" t="s">
        <v>30</v>
      </c>
      <c r="F14" s="12">
        <f t="shared" si="1"/>
        <v>4.3613932217325053E-4</v>
      </c>
    </row>
    <row r="15" spans="3:10">
      <c r="C15" s="4"/>
      <c r="D15" s="4" t="s">
        <v>25</v>
      </c>
      <c r="E15" s="4" t="s">
        <v>31</v>
      </c>
      <c r="F15" s="8">
        <f t="shared" si="1"/>
        <v>2.4802963822575848E-5</v>
      </c>
    </row>
    <row r="16" spans="3:10">
      <c r="C16" s="4"/>
      <c r="D16" s="4" t="s">
        <v>26</v>
      </c>
      <c r="E16" s="4" t="s">
        <v>32</v>
      </c>
      <c r="F16" s="8">
        <f t="shared" si="1"/>
        <v>5.8609913605576731E-5</v>
      </c>
      <c r="J16" s="9" t="s">
        <v>7</v>
      </c>
    </row>
    <row r="17" spans="3:10">
      <c r="C17" s="4"/>
      <c r="D17" s="4" t="s">
        <v>27</v>
      </c>
      <c r="E17" s="4" t="s">
        <v>33</v>
      </c>
      <c r="F17" s="8">
        <f t="shared" si="1"/>
        <v>1.6251711928257625E-6</v>
      </c>
      <c r="J17" s="9"/>
    </row>
    <row r="18" spans="3:10">
      <c r="C18" s="4"/>
      <c r="D18" s="4"/>
      <c r="E18" s="4" t="s">
        <v>4</v>
      </c>
      <c r="F18" s="10">
        <v>146.75011550804894</v>
      </c>
      <c r="G18" t="s">
        <v>6</v>
      </c>
      <c r="J18" s="9">
        <f>F18-273</f>
        <v>-126.24988449195106</v>
      </c>
    </row>
    <row r="19" spans="3:10">
      <c r="C19" s="4"/>
      <c r="D19" s="4"/>
      <c r="E19" s="4" t="s">
        <v>5</v>
      </c>
      <c r="F19" s="8">
        <v>0.8</v>
      </c>
      <c r="G19" s="1" t="s">
        <v>17</v>
      </c>
    </row>
  </sheetData>
  <pageMargins left="0.75" right="0.75" top="1" bottom="1" header="0.5" footer="0.5"/>
  <pageSetup scale="50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2:J19"/>
  <sheetViews>
    <sheetView workbookViewId="0">
      <selection activeCell="D24" sqref="D24"/>
    </sheetView>
  </sheetViews>
  <sheetFormatPr baseColWidth="10" defaultRowHeight="16"/>
  <sheetData>
    <row r="2" spans="3:10">
      <c r="D2" t="s">
        <v>19</v>
      </c>
    </row>
    <row r="4" spans="3:10">
      <c r="C4" s="4"/>
      <c r="D4" s="4" t="s">
        <v>21</v>
      </c>
      <c r="E4" s="4" t="s">
        <v>2</v>
      </c>
      <c r="F4" s="2" t="s">
        <v>1</v>
      </c>
      <c r="G4" s="4" t="s">
        <v>0</v>
      </c>
      <c r="H4" s="4" t="s">
        <v>9</v>
      </c>
      <c r="I4" s="5" t="s">
        <v>16</v>
      </c>
    </row>
    <row r="5" spans="3:10">
      <c r="C5" s="4" t="s">
        <v>22</v>
      </c>
      <c r="D5" s="3">
        <v>0.88</v>
      </c>
      <c r="E5" s="4">
        <v>190.6</v>
      </c>
      <c r="F5" s="14">
        <v>4.6040000000000001</v>
      </c>
      <c r="G5" s="4">
        <v>1.0999999999999999E-2</v>
      </c>
      <c r="H5" s="15">
        <f>D5/F12</f>
        <v>0.29595195260521556</v>
      </c>
      <c r="I5" s="15">
        <f>$F$18/E5</f>
        <v>1.5634837355718783</v>
      </c>
    </row>
    <row r="6" spans="3:10">
      <c r="C6" s="4" t="s">
        <v>23</v>
      </c>
      <c r="D6" s="4">
        <v>7.5800000000000006E-2</v>
      </c>
      <c r="E6" s="4">
        <v>305.39999999999998</v>
      </c>
      <c r="F6" s="14">
        <v>4.88</v>
      </c>
      <c r="G6" s="4">
        <v>9.9000000000000005E-2</v>
      </c>
      <c r="H6" s="15">
        <f t="shared" ref="H6:H10" si="0">D6/F13</f>
        <v>0.19723829744202245</v>
      </c>
      <c r="I6" s="15">
        <f t="shared" ref="I6:I10" si="1">$F$18/E6</f>
        <v>0.97576948264571062</v>
      </c>
    </row>
    <row r="7" spans="3:10">
      <c r="C7" s="4" t="s">
        <v>24</v>
      </c>
      <c r="D7" s="3">
        <v>4.4200000000000003E-2</v>
      </c>
      <c r="E7" s="4">
        <v>369.8</v>
      </c>
      <c r="F7" s="14">
        <v>4.2489999999999997</v>
      </c>
      <c r="G7" s="4">
        <v>0.152</v>
      </c>
      <c r="H7" s="15">
        <f t="shared" si="0"/>
        <v>0.50680974995276207</v>
      </c>
      <c r="I7" s="15">
        <f t="shared" si="1"/>
        <v>0.80584099513250407</v>
      </c>
    </row>
    <row r="8" spans="3:10">
      <c r="C8" s="4" t="s">
        <v>25</v>
      </c>
      <c r="D8" s="3">
        <v>0</v>
      </c>
      <c r="E8" s="4">
        <v>425.2</v>
      </c>
      <c r="F8" s="14">
        <v>3.7970000000000002</v>
      </c>
      <c r="G8" s="4">
        <v>0.193</v>
      </c>
      <c r="H8" s="15">
        <f t="shared" si="0"/>
        <v>0</v>
      </c>
      <c r="I8" s="15">
        <f t="shared" si="1"/>
        <v>0.70084666039510823</v>
      </c>
    </row>
    <row r="9" spans="3:10">
      <c r="C9" s="4" t="s">
        <v>26</v>
      </c>
      <c r="D9" s="3">
        <v>0</v>
      </c>
      <c r="E9" s="4">
        <v>408.1</v>
      </c>
      <c r="F9" s="14">
        <v>3.6480000000000001</v>
      </c>
      <c r="G9" s="4">
        <v>0.17699999999999999</v>
      </c>
      <c r="H9" s="15">
        <f t="shared" si="0"/>
        <v>0</v>
      </c>
      <c r="I9" s="15">
        <f t="shared" si="1"/>
        <v>0.73021318304337168</v>
      </c>
    </row>
    <row r="10" spans="3:10">
      <c r="C10" s="4" t="s">
        <v>27</v>
      </c>
      <c r="D10" s="3">
        <v>0</v>
      </c>
      <c r="E10" s="4">
        <v>469.7</v>
      </c>
      <c r="F10" s="14">
        <v>3.3690000000000002</v>
      </c>
      <c r="G10" s="4">
        <v>0.249</v>
      </c>
      <c r="H10" s="15">
        <f t="shared" si="0"/>
        <v>0</v>
      </c>
      <c r="I10" s="15">
        <f t="shared" si="1"/>
        <v>0.63444751969342139</v>
      </c>
    </row>
    <row r="11" spans="3:10">
      <c r="E11" t="s">
        <v>8</v>
      </c>
      <c r="F11" s="13">
        <f>D5/F12+D6/F13+D7/F14+D8/F15+D9/F16+D10/F17</f>
        <v>1</v>
      </c>
    </row>
    <row r="12" spans="3:10">
      <c r="D12" t="s">
        <v>22</v>
      </c>
      <c r="E12" t="s">
        <v>28</v>
      </c>
      <c r="F12" s="14">
        <f>(F5*10^((7/3)*(1+G5)*(1-E5/$F$18)))/$F$19</f>
        <v>2.9734556310695268</v>
      </c>
    </row>
    <row r="13" spans="3:10">
      <c r="D13" t="s">
        <v>23</v>
      </c>
      <c r="E13" t="s">
        <v>29</v>
      </c>
      <c r="F13" s="14">
        <f t="shared" ref="F13:F17" si="2">(F6*10^((7/3)*(1+G6)*(1-E6/$F$18)))/$F$19</f>
        <v>0.38430670403794764</v>
      </c>
    </row>
    <row r="14" spans="3:10">
      <c r="D14" t="s">
        <v>24</v>
      </c>
      <c r="E14" t="s">
        <v>30</v>
      </c>
      <c r="F14" s="14">
        <f t="shared" si="2"/>
        <v>8.7212213269613939E-2</v>
      </c>
    </row>
    <row r="15" spans="3:10">
      <c r="D15" t="s">
        <v>25</v>
      </c>
      <c r="E15" t="s">
        <v>31</v>
      </c>
      <c r="F15" s="14">
        <f t="shared" si="2"/>
        <v>2.2448164625214553E-2</v>
      </c>
    </row>
    <row r="16" spans="3:10">
      <c r="D16" t="s">
        <v>26</v>
      </c>
      <c r="E16" t="s">
        <v>32</v>
      </c>
      <c r="F16" s="14">
        <f t="shared" si="2"/>
        <v>3.2160460029219032E-2</v>
      </c>
      <c r="J16" t="s">
        <v>7</v>
      </c>
    </row>
    <row r="17" spans="4:10">
      <c r="D17" t="s">
        <v>27</v>
      </c>
      <c r="E17" t="s">
        <v>33</v>
      </c>
      <c r="F17" s="14">
        <f t="shared" si="2"/>
        <v>6.4309137392546045E-3</v>
      </c>
    </row>
    <row r="18" spans="4:10">
      <c r="E18" s="4" t="s">
        <v>4</v>
      </c>
      <c r="F18" s="16">
        <v>298</v>
      </c>
      <c r="G18" t="s">
        <v>15</v>
      </c>
      <c r="J18">
        <f>F18-273</f>
        <v>25</v>
      </c>
    </row>
    <row r="19" spans="4:10">
      <c r="E19" s="4" t="s">
        <v>5</v>
      </c>
      <c r="F19" s="17">
        <v>10.966392490591545</v>
      </c>
      <c r="G19" s="1" t="s">
        <v>17</v>
      </c>
    </row>
  </sheetData>
  <pageMargins left="0.75" right="0.75" top="1" bottom="1" header="0.5" footer="0.5"/>
  <pageSetup scale="50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2:N76"/>
  <sheetViews>
    <sheetView topLeftCell="B39" zoomScale="125" zoomScaleNormal="125" zoomScalePageLayoutView="90" workbookViewId="0">
      <selection activeCell="D30" sqref="D30:H45"/>
    </sheetView>
  </sheetViews>
  <sheetFormatPr baseColWidth="10" defaultRowHeight="16"/>
  <cols>
    <col min="4" max="4" width="12.33203125" customWidth="1"/>
  </cols>
  <sheetData>
    <row r="2" spans="3:10">
      <c r="E2" t="s">
        <v>20</v>
      </c>
    </row>
    <row r="4" spans="3:10">
      <c r="C4" s="18"/>
      <c r="D4" s="18" t="s">
        <v>21</v>
      </c>
      <c r="E4" s="18" t="s">
        <v>2</v>
      </c>
      <c r="F4" s="18" t="s">
        <v>1</v>
      </c>
      <c r="G4" s="18" t="s">
        <v>0</v>
      </c>
      <c r="H4" s="4" t="s">
        <v>9</v>
      </c>
      <c r="I4" s="4" t="s">
        <v>13</v>
      </c>
      <c r="J4" s="5" t="s">
        <v>16</v>
      </c>
    </row>
    <row r="5" spans="3:10">
      <c r="C5" s="18" t="s">
        <v>22</v>
      </c>
      <c r="D5" s="3">
        <v>0.88</v>
      </c>
      <c r="E5" s="18">
        <v>190.6</v>
      </c>
      <c r="F5" s="18">
        <v>4.6040000000000001</v>
      </c>
      <c r="G5" s="18">
        <v>1.0999999999999999E-2</v>
      </c>
      <c r="H5" s="15">
        <f>D5/(1+$F$20*(F12-1))</f>
        <v>0.76202982700441202</v>
      </c>
      <c r="I5" s="15">
        <f>H5*F12</f>
        <v>0.99797017299558788</v>
      </c>
      <c r="J5" s="8">
        <f>$F$18/E5</f>
        <v>0.78583570623760668</v>
      </c>
    </row>
    <row r="6" spans="3:10">
      <c r="C6" s="18" t="s">
        <v>23</v>
      </c>
      <c r="D6" s="4">
        <v>7.5800000000000006E-2</v>
      </c>
      <c r="E6" s="18">
        <v>305.39999999999998</v>
      </c>
      <c r="F6" s="18">
        <v>4.88</v>
      </c>
      <c r="G6" s="18">
        <v>9.9000000000000005E-2</v>
      </c>
      <c r="H6" s="15">
        <f t="shared" ref="H6:H10" si="0">D6/(1+$F$20*(F13-1))</f>
        <v>0.14962293947036531</v>
      </c>
      <c r="I6" s="15">
        <f t="shared" ref="I6:I10" si="1">H6*F13</f>
        <v>1.9770605296346895E-3</v>
      </c>
      <c r="J6" s="8">
        <f t="shared" ref="J6:J10" si="2">$F$18/E6</f>
        <v>0.49043970402386322</v>
      </c>
    </row>
    <row r="7" spans="3:10">
      <c r="C7" s="18" t="s">
        <v>24</v>
      </c>
      <c r="D7" s="3">
        <v>4.4200000000000003E-2</v>
      </c>
      <c r="E7" s="18">
        <v>369.8</v>
      </c>
      <c r="F7" s="18">
        <v>4.2489999999999997</v>
      </c>
      <c r="G7" s="18">
        <v>0.152</v>
      </c>
      <c r="H7" s="15">
        <f t="shared" si="0"/>
        <v>8.8347173425244258E-2</v>
      </c>
      <c r="I7" s="15">
        <f t="shared" si="1"/>
        <v>5.2826574755754328E-5</v>
      </c>
      <c r="J7" s="8">
        <f t="shared" si="2"/>
        <v>0.40503051814193569</v>
      </c>
    </row>
    <row r="8" spans="3:10">
      <c r="C8" s="18" t="s">
        <v>25</v>
      </c>
      <c r="D8" s="3">
        <v>0</v>
      </c>
      <c r="E8" s="18">
        <v>425.2</v>
      </c>
      <c r="F8" s="18">
        <v>3.7970000000000002</v>
      </c>
      <c r="G8" s="18">
        <v>0.193</v>
      </c>
      <c r="H8" s="15">
        <f t="shared" si="0"/>
        <v>0</v>
      </c>
      <c r="I8" s="15">
        <f t="shared" si="1"/>
        <v>0</v>
      </c>
      <c r="J8" s="8">
        <f t="shared" si="2"/>
        <v>0.35225843275843799</v>
      </c>
    </row>
    <row r="9" spans="3:10">
      <c r="C9" s="18" t="s">
        <v>26</v>
      </c>
      <c r="D9" s="3">
        <v>0</v>
      </c>
      <c r="E9" s="18">
        <v>408.1</v>
      </c>
      <c r="F9" s="18">
        <v>3.6480000000000001</v>
      </c>
      <c r="G9" s="18">
        <v>0.17699999999999999</v>
      </c>
      <c r="H9" s="15">
        <f t="shared" si="0"/>
        <v>0</v>
      </c>
      <c r="I9" s="15">
        <f t="shared" si="1"/>
        <v>0</v>
      </c>
      <c r="J9" s="8">
        <f t="shared" si="2"/>
        <v>0.36701858762285666</v>
      </c>
    </row>
    <row r="10" spans="3:10">
      <c r="C10" s="18" t="s">
        <v>27</v>
      </c>
      <c r="D10" s="3">
        <v>0</v>
      </c>
      <c r="E10" s="18">
        <v>469.7</v>
      </c>
      <c r="F10" s="18">
        <v>3.3690000000000002</v>
      </c>
      <c r="G10" s="18">
        <v>0.249</v>
      </c>
      <c r="H10" s="15">
        <f t="shared" si="0"/>
        <v>0</v>
      </c>
      <c r="I10" s="15">
        <f t="shared" si="1"/>
        <v>0</v>
      </c>
      <c r="J10" s="8">
        <f t="shared" si="2"/>
        <v>0.31888500236084272</v>
      </c>
    </row>
    <row r="11" spans="3:10">
      <c r="C11" s="4"/>
      <c r="D11" s="4"/>
      <c r="E11" s="4" t="s">
        <v>11</v>
      </c>
      <c r="F11" s="4">
        <f>D5*(1-F12)/(1+F20*(F12-1))+D6*(1-F13)/(1+F20*(F13-1))+D7*(1-F14)/(1+F20*(F14-1))+D8*(1-F15)/(1+F20*(F15-1))+D9*(1-F16)/(1+F20*(F16-1))+D10*(1-F17)/(1+F20*(F17-1))</f>
        <v>-1.2019995676570971E-7</v>
      </c>
      <c r="G11" s="4"/>
      <c r="H11" s="4">
        <f>SUM(H5:H10)</f>
        <v>0.99999993990002156</v>
      </c>
      <c r="I11" s="4">
        <f>SUM(I5:I10)</f>
        <v>1.0000000600999783</v>
      </c>
      <c r="J11" s="4"/>
    </row>
    <row r="12" spans="3:10">
      <c r="C12" s="4"/>
      <c r="D12" s="4" t="s">
        <v>22</v>
      </c>
      <c r="E12" s="4" t="s">
        <v>28</v>
      </c>
      <c r="F12" s="20">
        <f>(F5*10^((7/3)*(1+G5)*(1-E5/$F$18)))/$F$19</f>
        <v>1.3096208804826872</v>
      </c>
      <c r="G12" s="4"/>
      <c r="H12" s="4"/>
      <c r="I12" s="4"/>
      <c r="J12" s="4"/>
    </row>
    <row r="13" spans="3:10">
      <c r="C13" s="4"/>
      <c r="D13" s="4" t="s">
        <v>23</v>
      </c>
      <c r="E13" s="4" t="s">
        <v>29</v>
      </c>
      <c r="F13" s="20">
        <f t="shared" ref="F13:F17" si="3">(F6*10^((7/3)*(1+G6)*(1-E6/$F$18)))/$F$19</f>
        <v>1.3213619092320205E-2</v>
      </c>
      <c r="G13" s="4"/>
      <c r="H13" s="4"/>
      <c r="I13" s="4"/>
      <c r="J13" s="4"/>
    </row>
    <row r="14" spans="3:10">
      <c r="C14" s="4"/>
      <c r="D14" s="4" t="s">
        <v>24</v>
      </c>
      <c r="E14" s="4" t="s">
        <v>30</v>
      </c>
      <c r="F14" s="20">
        <f t="shared" si="3"/>
        <v>5.9794300946655642E-4</v>
      </c>
      <c r="G14" s="4"/>
      <c r="H14" s="4"/>
      <c r="I14" s="4"/>
      <c r="J14" s="4"/>
    </row>
    <row r="15" spans="3:10">
      <c r="C15" s="4"/>
      <c r="D15" s="4" t="s">
        <v>25</v>
      </c>
      <c r="E15" s="4" t="s">
        <v>31</v>
      </c>
      <c r="F15" s="20">
        <f t="shared" si="3"/>
        <v>3.6113959809161414E-5</v>
      </c>
      <c r="G15" s="4"/>
      <c r="H15" s="4"/>
      <c r="I15" s="4"/>
      <c r="J15" s="4"/>
    </row>
    <row r="16" spans="3:10">
      <c r="C16" s="4"/>
      <c r="D16" s="4" t="s">
        <v>26</v>
      </c>
      <c r="E16" s="4" t="s">
        <v>32</v>
      </c>
      <c r="F16" s="20">
        <f t="shared" si="3"/>
        <v>8.3652720289258269E-5</v>
      </c>
      <c r="G16" s="4"/>
      <c r="H16" s="4"/>
      <c r="I16" s="4"/>
      <c r="J16" s="4" t="s">
        <v>7</v>
      </c>
    </row>
    <row r="17" spans="3:13">
      <c r="C17" s="4"/>
      <c r="D17" s="4" t="s">
        <v>27</v>
      </c>
      <c r="E17" s="4" t="s">
        <v>33</v>
      </c>
      <c r="F17" s="20">
        <f t="shared" si="3"/>
        <v>2.5096235545557906E-6</v>
      </c>
      <c r="G17" s="4"/>
      <c r="H17" s="4"/>
      <c r="I17" s="4"/>
      <c r="J17" s="4"/>
    </row>
    <row r="18" spans="3:13">
      <c r="C18" s="4"/>
      <c r="D18" s="4"/>
      <c r="E18" s="4" t="s">
        <v>4</v>
      </c>
      <c r="F18" s="19">
        <v>149.78028560888782</v>
      </c>
      <c r="G18" s="4"/>
      <c r="H18" s="4"/>
      <c r="I18" s="4"/>
      <c r="J18" s="4">
        <f>F18-273</f>
        <v>-123.21971439111218</v>
      </c>
    </row>
    <row r="19" spans="3:13">
      <c r="E19" s="4" t="s">
        <v>5</v>
      </c>
      <c r="F19" s="4">
        <v>0.8</v>
      </c>
      <c r="G19" s="1" t="s">
        <v>17</v>
      </c>
    </row>
    <row r="20" spans="3:13">
      <c r="E20" s="4" t="s">
        <v>10</v>
      </c>
      <c r="F20" s="4">
        <v>0.5</v>
      </c>
      <c r="G20" t="s">
        <v>12</v>
      </c>
    </row>
    <row r="21" spans="3:13">
      <c r="E21" s="4" t="s">
        <v>14</v>
      </c>
      <c r="F21" s="4">
        <f>1-F20</f>
        <v>0.5</v>
      </c>
    </row>
    <row r="30" spans="3:13">
      <c r="D30" s="48"/>
      <c r="E30" s="48"/>
      <c r="F30" s="48"/>
      <c r="G30" s="48"/>
      <c r="H30" s="48"/>
    </row>
    <row r="31" spans="3:13">
      <c r="D31" s="49" t="s">
        <v>48</v>
      </c>
      <c r="E31" s="48"/>
      <c r="F31" s="48" t="s">
        <v>49</v>
      </c>
      <c r="G31" s="48"/>
      <c r="H31" s="48"/>
      <c r="J31" t="s">
        <v>61</v>
      </c>
      <c r="K31" t="s">
        <v>62</v>
      </c>
      <c r="M31" t="s">
        <v>63</v>
      </c>
    </row>
    <row r="32" spans="3:13">
      <c r="D32" s="48" t="s">
        <v>50</v>
      </c>
      <c r="E32" s="48" t="s">
        <v>51</v>
      </c>
      <c r="F32" s="48" t="s">
        <v>52</v>
      </c>
      <c r="G32" s="48" t="s">
        <v>53</v>
      </c>
      <c r="H32" s="48" t="s">
        <v>54</v>
      </c>
    </row>
    <row r="33" spans="4:8">
      <c r="D33" s="50" t="s">
        <v>22</v>
      </c>
      <c r="E33" s="50">
        <v>19.25</v>
      </c>
      <c r="F33" s="54">
        <v>5.2130000000000003E-2</v>
      </c>
      <c r="G33" s="54">
        <v>1.1970000000000001E-5</v>
      </c>
      <c r="H33" s="54">
        <v>-1.132E-8</v>
      </c>
    </row>
    <row r="34" spans="4:8">
      <c r="D34" s="50" t="s">
        <v>23</v>
      </c>
      <c r="E34" s="50">
        <v>5.4089999999999998</v>
      </c>
      <c r="F34" s="54">
        <v>0.17810000000000001</v>
      </c>
      <c r="G34" s="54">
        <v>-6.9380000000000003E-5</v>
      </c>
      <c r="H34" s="54">
        <v>8.713E-9</v>
      </c>
    </row>
    <row r="35" spans="4:8">
      <c r="D35" s="50" t="s">
        <v>24</v>
      </c>
      <c r="E35" s="50">
        <v>-4.2240000000000002</v>
      </c>
      <c r="F35" s="54">
        <v>0.30630000000000002</v>
      </c>
      <c r="G35" s="54">
        <v>-1.5860000000000001E-4</v>
      </c>
      <c r="H35" s="54">
        <v>3.215E-8</v>
      </c>
    </row>
    <row r="36" spans="4:8">
      <c r="D36" s="48" t="s">
        <v>55</v>
      </c>
      <c r="E36" s="48"/>
      <c r="F36" s="48"/>
      <c r="G36" s="51"/>
      <c r="H36" s="48"/>
    </row>
    <row r="37" spans="4:8">
      <c r="D37" s="50" t="s">
        <v>22</v>
      </c>
      <c r="E37" s="48">
        <v>50</v>
      </c>
      <c r="F37" s="48">
        <v>0</v>
      </c>
      <c r="G37" s="51">
        <v>0</v>
      </c>
      <c r="H37" s="48">
        <v>0</v>
      </c>
    </row>
    <row r="38" spans="4:8">
      <c r="D38" s="50" t="s">
        <v>23</v>
      </c>
      <c r="E38" s="48">
        <v>70</v>
      </c>
      <c r="F38" s="48">
        <v>0</v>
      </c>
      <c r="G38" s="51">
        <v>0</v>
      </c>
      <c r="H38" s="48">
        <v>0</v>
      </c>
    </row>
    <row r="39" spans="4:8">
      <c r="D39" s="50" t="s">
        <v>24</v>
      </c>
      <c r="E39" s="48">
        <v>98</v>
      </c>
      <c r="F39" s="48">
        <v>0</v>
      </c>
      <c r="G39" s="51">
        <v>0</v>
      </c>
      <c r="H39" s="48">
        <v>0</v>
      </c>
    </row>
    <row r="40" spans="4:8">
      <c r="D40" s="52"/>
      <c r="E40" s="52"/>
      <c r="F40" s="52"/>
      <c r="G40" s="52"/>
      <c r="H40" s="52"/>
    </row>
    <row r="41" spans="4:8" ht="48">
      <c r="D41" s="53" t="s">
        <v>56</v>
      </c>
      <c r="E41" s="52"/>
      <c r="F41" s="52"/>
      <c r="G41" s="52"/>
      <c r="H41" s="52"/>
    </row>
    <row r="42" spans="4:8" ht="32">
      <c r="D42" s="52"/>
      <c r="E42" s="52" t="s">
        <v>57</v>
      </c>
      <c r="F42" s="53" t="s">
        <v>58</v>
      </c>
      <c r="G42" s="52" t="s">
        <v>59</v>
      </c>
      <c r="H42" s="52" t="s">
        <v>60</v>
      </c>
    </row>
    <row r="43" spans="4:8">
      <c r="D43" s="50" t="s">
        <v>22</v>
      </c>
      <c r="E43" s="52"/>
      <c r="F43" s="52">
        <v>8.5</v>
      </c>
      <c r="G43" s="48"/>
      <c r="H43" s="48">
        <v>111</v>
      </c>
    </row>
    <row r="44" spans="4:8">
      <c r="D44" s="50" t="s">
        <v>23</v>
      </c>
      <c r="E44" s="52"/>
      <c r="F44" s="52">
        <v>16.399999999999999</v>
      </c>
      <c r="G44" s="48"/>
      <c r="H44" s="48">
        <v>184.6</v>
      </c>
    </row>
    <row r="45" spans="4:8">
      <c r="D45" s="50" t="s">
        <v>24</v>
      </c>
      <c r="E45" s="52"/>
      <c r="F45" s="52">
        <v>22.1</v>
      </c>
      <c r="G45" s="48"/>
      <c r="H45" s="48">
        <v>119.8</v>
      </c>
    </row>
    <row r="51" spans="5:14">
      <c r="E51" t="s">
        <v>64</v>
      </c>
    </row>
    <row r="52" spans="5:14">
      <c r="E52" t="s">
        <v>65</v>
      </c>
    </row>
    <row r="53" spans="5:14">
      <c r="E53" t="s">
        <v>66</v>
      </c>
    </row>
    <row r="54" spans="5:14">
      <c r="F54" t="s">
        <v>67</v>
      </c>
      <c r="I54" t="s">
        <v>74</v>
      </c>
    </row>
    <row r="56" spans="5:14">
      <c r="K56" t="s">
        <v>73</v>
      </c>
    </row>
    <row r="58" spans="5:14">
      <c r="G58" s="22" t="s">
        <v>68</v>
      </c>
      <c r="H58" s="23"/>
      <c r="J58" t="s">
        <v>69</v>
      </c>
    </row>
    <row r="59" spans="5:14">
      <c r="G59" s="26">
        <f>(F20*G61+F21*G60)/1000</f>
        <v>-4.139309609882468</v>
      </c>
      <c r="H59" s="24" t="s">
        <v>70</v>
      </c>
    </row>
    <row r="60" spans="5:14">
      <c r="F60" s="21" t="s">
        <v>71</v>
      </c>
      <c r="G60" s="25">
        <f>H5*E37*(150-298)+H6*E38*(150-298)+H7*E39*(150-298)</f>
        <v>-8470.5017761053768</v>
      </c>
      <c r="H60" s="24" t="s">
        <v>75</v>
      </c>
    </row>
    <row r="61" spans="5:14">
      <c r="F61" s="21" t="s">
        <v>72</v>
      </c>
      <c r="G61" s="25">
        <f>I5*E37*(H43-298)+I6*E38*(H44-298)+I7*E39*(H45-298)+1000*I5*F43+1000*I6*F44+1000*I7*F45+I5*(E33*(150-H43)+F33*(150^2-H43^2)/2+G33*(150^3-H43^3)/3+H33*(150^4-H43^4)/4)+I6*(E34*(150-H43)+F34*(150^2-H43^2)/2+G34*(150^3-H43^3)/3+H34*(150^4-H43^4)/4)+I7*(E35*(150-H43)+F35*(150^2-H43^2)/2+G35*(150^3-H43^3)/3+H35*(150^4-H43^4)/4)</f>
        <v>191.88255634043981</v>
      </c>
      <c r="H61" s="24" t="s">
        <v>75</v>
      </c>
    </row>
    <row r="64" spans="5:14">
      <c r="F64" s="1" t="s">
        <v>76</v>
      </c>
      <c r="G64" s="1"/>
      <c r="H64" s="1"/>
      <c r="I64" s="1"/>
      <c r="J64" s="1"/>
      <c r="K64" s="1"/>
      <c r="L64" s="1"/>
      <c r="M64" s="1"/>
      <c r="N64" s="1"/>
    </row>
    <row r="65" spans="6:12" ht="64">
      <c r="F65" s="27" t="s">
        <v>77</v>
      </c>
      <c r="G65" s="27" t="s">
        <v>82</v>
      </c>
      <c r="H65" s="27" t="s">
        <v>80</v>
      </c>
      <c r="I65" s="27" t="s">
        <v>81</v>
      </c>
      <c r="J65" s="28"/>
      <c r="K65" s="28"/>
      <c r="L65" s="28"/>
    </row>
    <row r="66" spans="6:12">
      <c r="F66" s="9" t="s">
        <v>22</v>
      </c>
      <c r="G66" s="29">
        <v>0</v>
      </c>
      <c r="H66" s="29">
        <v>-4935</v>
      </c>
      <c r="I66" s="29">
        <v>-11716</v>
      </c>
    </row>
    <row r="67" spans="6:12">
      <c r="F67" s="9" t="s">
        <v>23</v>
      </c>
      <c r="G67" s="29">
        <v>0</v>
      </c>
      <c r="H67" s="29">
        <v>-21417</v>
      </c>
      <c r="I67" s="29">
        <v>-21417</v>
      </c>
    </row>
    <row r="68" spans="6:12">
      <c r="F68" s="9" t="s">
        <v>24</v>
      </c>
      <c r="G68" s="29">
        <v>0</v>
      </c>
      <c r="H68" s="29">
        <v>-13620</v>
      </c>
      <c r="I68" s="29">
        <v>-13620</v>
      </c>
    </row>
    <row r="69" spans="6:12">
      <c r="F69" s="29" t="s">
        <v>78</v>
      </c>
      <c r="G69" s="30">
        <f>D5*G66+D6*G67+D7*G68</f>
        <v>0</v>
      </c>
      <c r="H69" s="30">
        <f>I5*H66+I6*H67+I7*H68</f>
        <v>-4968.0450070445859</v>
      </c>
      <c r="I69" s="30">
        <f>H5*I66+H6*I67+H7*I68</f>
        <v>-13335.704449872332</v>
      </c>
    </row>
    <row r="70" spans="6:12">
      <c r="F70" s="31" t="s">
        <v>79</v>
      </c>
      <c r="G70" s="33">
        <f>(F21*I69+F20*H69-G69)/1000</f>
        <v>-9.1518747284584592</v>
      </c>
      <c r="H70" s="32"/>
      <c r="I70" s="32"/>
    </row>
    <row r="71" spans="6:12">
      <c r="F71" s="4"/>
      <c r="G71" s="4"/>
      <c r="H71" s="4"/>
      <c r="I71" s="4"/>
      <c r="J71" s="4"/>
      <c r="K71" s="4"/>
      <c r="L71" s="4"/>
    </row>
    <row r="72" spans="6:12">
      <c r="F72" s="4"/>
      <c r="G72" s="4"/>
      <c r="H72" s="4"/>
      <c r="I72" s="4"/>
      <c r="J72" s="4"/>
      <c r="K72" s="4"/>
      <c r="L72" s="4"/>
    </row>
    <row r="73" spans="6:12">
      <c r="F73" s="4"/>
      <c r="G73" s="4"/>
      <c r="H73" s="4"/>
      <c r="I73" s="4"/>
      <c r="J73" s="4"/>
      <c r="K73" s="4"/>
      <c r="L73" s="4"/>
    </row>
    <row r="74" spans="6:12">
      <c r="F74" s="4"/>
      <c r="G74" s="4"/>
      <c r="H74" s="4"/>
      <c r="I74" s="4"/>
      <c r="J74" s="4"/>
      <c r="K74" s="4"/>
      <c r="L74" s="4"/>
    </row>
    <row r="75" spans="6:12">
      <c r="F75" s="4"/>
      <c r="G75" s="4"/>
      <c r="H75" s="4"/>
      <c r="I75" s="4"/>
      <c r="J75" s="4"/>
      <c r="K75" s="4"/>
      <c r="L75" s="4"/>
    </row>
    <row r="76" spans="6:12">
      <c r="F76" s="4"/>
      <c r="G76" s="4"/>
      <c r="H76" s="4"/>
      <c r="I76" s="4"/>
      <c r="J76" s="4"/>
      <c r="K76" s="4"/>
      <c r="L76" s="4"/>
    </row>
  </sheetData>
  <pageMargins left="0.75" right="0.75" top="1" bottom="1" header="0.5" footer="0.5"/>
  <pageSetup scale="50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D79EFC-15FD-A342-A3A3-9A6BF1BA17D3}">
  <dimension ref="A3:F25"/>
  <sheetViews>
    <sheetView tabSelected="1" topLeftCell="B1" workbookViewId="0">
      <selection activeCell="G26" sqref="G26"/>
    </sheetView>
  </sheetViews>
  <sheetFormatPr baseColWidth="10" defaultRowHeight="16"/>
  <cols>
    <col min="1" max="1" width="10.83203125" style="34"/>
    <col min="2" max="2" width="11.33203125" style="34" customWidth="1"/>
    <col min="3" max="16384" width="10.83203125" style="34"/>
  </cols>
  <sheetData>
    <row r="3" spans="1:6">
      <c r="E3" s="34" t="s">
        <v>16</v>
      </c>
    </row>
    <row r="4" spans="1:6" ht="32">
      <c r="A4" s="34" t="s">
        <v>35</v>
      </c>
      <c r="B4" s="35" t="s">
        <v>40</v>
      </c>
      <c r="C4" s="36">
        <v>147</v>
      </c>
      <c r="D4" s="34" t="s">
        <v>34</v>
      </c>
      <c r="E4" s="37">
        <v>0.76993938639657733</v>
      </c>
      <c r="F4" s="34" t="s">
        <v>22</v>
      </c>
    </row>
    <row r="5" spans="1:6">
      <c r="B5" s="35"/>
      <c r="E5" s="37">
        <v>0.48051881809819136</v>
      </c>
      <c r="F5" s="34" t="s">
        <v>23</v>
      </c>
    </row>
    <row r="6" spans="1:6">
      <c r="B6" s="35"/>
      <c r="E6" s="37">
        <v>0.39683733652565611</v>
      </c>
      <c r="F6" s="34" t="s">
        <v>24</v>
      </c>
    </row>
    <row r="7" spans="1:6">
      <c r="B7" s="35" t="s">
        <v>36</v>
      </c>
      <c r="C7" s="36">
        <v>29.1</v>
      </c>
      <c r="D7" s="34" t="s">
        <v>37</v>
      </c>
    </row>
    <row r="8" spans="1:6">
      <c r="B8" s="35"/>
      <c r="C8" s="38"/>
    </row>
    <row r="9" spans="1:6">
      <c r="B9" s="35"/>
      <c r="E9" s="34" t="s">
        <v>39</v>
      </c>
    </row>
    <row r="10" spans="1:6" ht="32">
      <c r="A10" s="34" t="s">
        <v>38</v>
      </c>
      <c r="B10" s="35" t="s">
        <v>22</v>
      </c>
      <c r="C10" s="34" t="s">
        <v>28</v>
      </c>
      <c r="D10" s="37">
        <v>1.135431287020539</v>
      </c>
      <c r="E10" s="36">
        <v>1.1100000000000001</v>
      </c>
    </row>
    <row r="11" spans="1:6">
      <c r="B11" s="35" t="s">
        <v>23</v>
      </c>
      <c r="C11" s="34" t="s">
        <v>29</v>
      </c>
      <c r="D11" s="39">
        <v>1.030524139851368E-2</v>
      </c>
      <c r="E11" s="36">
        <v>9.5999999999999992E-3</v>
      </c>
    </row>
    <row r="12" spans="1:6">
      <c r="B12" s="35" t="s">
        <v>24</v>
      </c>
      <c r="C12" s="34" t="s">
        <v>30</v>
      </c>
      <c r="D12" s="40">
        <v>4.3613932217325053E-4</v>
      </c>
      <c r="E12" s="36">
        <v>2.2599999999999999E-4</v>
      </c>
    </row>
    <row r="13" spans="1:6">
      <c r="B13" s="35"/>
    </row>
    <row r="14" spans="1:6" ht="32">
      <c r="A14" s="34" t="s">
        <v>41</v>
      </c>
      <c r="B14" s="35" t="s">
        <v>42</v>
      </c>
      <c r="C14" s="36">
        <v>214</v>
      </c>
      <c r="D14" s="34" t="s">
        <v>34</v>
      </c>
      <c r="E14" s="36" t="s">
        <v>16</v>
      </c>
    </row>
    <row r="15" spans="1:6">
      <c r="B15" s="35"/>
      <c r="E15" s="37">
        <v>1.1219516631689377</v>
      </c>
      <c r="F15" s="34" t="s">
        <v>22</v>
      </c>
    </row>
    <row r="16" spans="1:6">
      <c r="B16" s="35"/>
      <c r="E16" s="37">
        <v>0.70020951866404557</v>
      </c>
      <c r="F16" s="34" t="s">
        <v>23</v>
      </c>
    </row>
    <row r="17" spans="1:6">
      <c r="B17" s="35"/>
      <c r="E17" s="37">
        <v>0.5782692996214156</v>
      </c>
      <c r="F17" s="34" t="s">
        <v>24</v>
      </c>
    </row>
    <row r="18" spans="1:6">
      <c r="B18" s="34" t="s">
        <v>43</v>
      </c>
      <c r="C18" s="41">
        <v>11</v>
      </c>
      <c r="D18" s="34" t="s">
        <v>37</v>
      </c>
    </row>
    <row r="20" spans="1:6" ht="32">
      <c r="A20" s="34" t="s">
        <v>44</v>
      </c>
      <c r="B20" s="35" t="s">
        <v>45</v>
      </c>
      <c r="C20" s="36">
        <v>150</v>
      </c>
      <c r="D20" s="34" t="s">
        <v>34</v>
      </c>
    </row>
    <row r="21" spans="1:6">
      <c r="B21" s="42"/>
      <c r="C21" s="42" t="s">
        <v>46</v>
      </c>
      <c r="D21" s="42"/>
    </row>
    <row r="23" spans="1:6">
      <c r="A23" s="34" t="s">
        <v>47</v>
      </c>
      <c r="B23" s="34" t="s">
        <v>83</v>
      </c>
      <c r="C23" s="36">
        <v>-4.1399999999999997</v>
      </c>
      <c r="D23" s="43" t="s">
        <v>85</v>
      </c>
    </row>
    <row r="24" spans="1:6">
      <c r="D24" s="43"/>
    </row>
    <row r="25" spans="1:6" ht="32">
      <c r="B25" s="35" t="s">
        <v>84</v>
      </c>
      <c r="C25" s="36">
        <v>-9.15</v>
      </c>
      <c r="D25" s="43" t="s">
        <v>85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E67ED6-DE7B-9847-A2FE-2F493AE84E60}">
  <dimension ref="A3:F25"/>
  <sheetViews>
    <sheetView topLeftCell="A2" zoomScale="160" zoomScaleNormal="160" workbookViewId="0">
      <selection activeCell="A2" sqref="A1:XFD1048576"/>
    </sheetView>
  </sheetViews>
  <sheetFormatPr baseColWidth="10" defaultRowHeight="16"/>
  <cols>
    <col min="1" max="16384" width="10.83203125" style="34"/>
  </cols>
  <sheetData>
    <row r="3" spans="1:6">
      <c r="E3" s="36" t="s">
        <v>16</v>
      </c>
    </row>
    <row r="4" spans="1:6" ht="32">
      <c r="A4" s="34" t="s">
        <v>35</v>
      </c>
      <c r="B4" s="35" t="s">
        <v>40</v>
      </c>
      <c r="C4" s="36"/>
      <c r="D4" s="34" t="s">
        <v>34</v>
      </c>
      <c r="E4" s="37"/>
      <c r="F4" s="34" t="s">
        <v>22</v>
      </c>
    </row>
    <row r="5" spans="1:6">
      <c r="B5" s="35"/>
      <c r="E5" s="37"/>
      <c r="F5" s="34" t="s">
        <v>23</v>
      </c>
    </row>
    <row r="6" spans="1:6">
      <c r="B6" s="35"/>
      <c r="E6" s="37"/>
      <c r="F6" s="34" t="s">
        <v>24</v>
      </c>
    </row>
    <row r="7" spans="1:6">
      <c r="B7" s="35" t="s">
        <v>36</v>
      </c>
      <c r="C7" s="36"/>
      <c r="D7" s="34" t="s">
        <v>37</v>
      </c>
    </row>
    <row r="8" spans="1:6">
      <c r="B8" s="35"/>
      <c r="C8" s="38"/>
    </row>
    <row r="9" spans="1:6">
      <c r="B9" s="35"/>
      <c r="E9" s="34" t="s">
        <v>39</v>
      </c>
    </row>
    <row r="10" spans="1:6" ht="32">
      <c r="A10" s="34" t="s">
        <v>38</v>
      </c>
      <c r="B10" s="35" t="s">
        <v>22</v>
      </c>
      <c r="C10" s="34" t="s">
        <v>28</v>
      </c>
      <c r="D10" s="37"/>
      <c r="E10" s="36"/>
    </row>
    <row r="11" spans="1:6">
      <c r="B11" s="35" t="s">
        <v>23</v>
      </c>
      <c r="C11" s="34" t="s">
        <v>29</v>
      </c>
      <c r="D11" s="39"/>
      <c r="E11" s="36"/>
    </row>
    <row r="12" spans="1:6">
      <c r="B12" s="35" t="s">
        <v>24</v>
      </c>
      <c r="C12" s="34" t="s">
        <v>30</v>
      </c>
      <c r="D12" s="40"/>
      <c r="E12" s="36"/>
    </row>
    <row r="13" spans="1:6">
      <c r="B13" s="35"/>
    </row>
    <row r="14" spans="1:6" ht="32">
      <c r="A14" s="34" t="s">
        <v>41</v>
      </c>
      <c r="B14" s="35" t="s">
        <v>42</v>
      </c>
      <c r="C14" s="36"/>
      <c r="D14" s="34" t="s">
        <v>34</v>
      </c>
      <c r="E14" s="36" t="s">
        <v>16</v>
      </c>
    </row>
    <row r="15" spans="1:6">
      <c r="B15" s="35"/>
      <c r="E15" s="37"/>
      <c r="F15" s="34" t="s">
        <v>22</v>
      </c>
    </row>
    <row r="16" spans="1:6">
      <c r="B16" s="35"/>
      <c r="E16" s="37"/>
      <c r="F16" s="34" t="s">
        <v>23</v>
      </c>
    </row>
    <row r="17" spans="1:6">
      <c r="B17" s="35"/>
      <c r="E17" s="37"/>
      <c r="F17" s="34" t="s">
        <v>24</v>
      </c>
    </row>
    <row r="18" spans="1:6">
      <c r="B18" s="34" t="s">
        <v>43</v>
      </c>
      <c r="C18" s="41"/>
      <c r="D18" s="34" t="s">
        <v>37</v>
      </c>
    </row>
    <row r="20" spans="1:6" ht="32">
      <c r="A20" s="34" t="s">
        <v>44</v>
      </c>
      <c r="B20" s="35" t="s">
        <v>45</v>
      </c>
      <c r="C20" s="44"/>
      <c r="D20" s="34" t="s">
        <v>34</v>
      </c>
    </row>
    <row r="21" spans="1:6">
      <c r="B21" s="45" t="s">
        <v>86</v>
      </c>
      <c r="C21" s="46"/>
      <c r="D21" s="46"/>
      <c r="E21" s="47"/>
      <c r="F21" s="47"/>
    </row>
    <row r="23" spans="1:6">
      <c r="A23" s="34" t="s">
        <v>47</v>
      </c>
      <c r="B23" s="34" t="s">
        <v>83</v>
      </c>
      <c r="C23" s="36"/>
      <c r="D23" s="43" t="s">
        <v>85</v>
      </c>
    </row>
    <row r="24" spans="1:6">
      <c r="D24" s="43"/>
    </row>
    <row r="25" spans="1:6" ht="32">
      <c r="B25" s="35" t="s">
        <v>84</v>
      </c>
      <c r="C25" s="36"/>
      <c r="D25" s="43" t="s">
        <v>85</v>
      </c>
    </row>
  </sheetData>
  <mergeCells count="1">
    <mergeCell ref="B21:F2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Part a</vt:lpstr>
      <vt:lpstr>Part c</vt:lpstr>
      <vt:lpstr>Parts d and e</vt:lpstr>
      <vt:lpstr>Answer Sheet</vt:lpstr>
      <vt:lpstr>Empty Answer Sheet</vt:lpstr>
    </vt:vector>
  </TitlesOfParts>
  <Company>DR4XB-2QBXH-MDT76-B4JMQ-YQ34D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Gregory</dc:creator>
  <cp:lastModifiedBy>Microsoft Office User</cp:lastModifiedBy>
  <dcterms:created xsi:type="dcterms:W3CDTF">2017-03-26T23:29:10Z</dcterms:created>
  <dcterms:modified xsi:type="dcterms:W3CDTF">2021-03-28T13:12:44Z</dcterms:modified>
</cp:coreProperties>
</file>